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morrow/UCCE Internship/"/>
    </mc:Choice>
  </mc:AlternateContent>
  <xr:revisionPtr revIDLastSave="0" documentId="8_{A7A9ED96-74B3-494F-BDE9-C66FAA0DA50B}" xr6:coauthVersionLast="47" xr6:coauthVersionMax="47" xr10:uidLastSave="{00000000-0000-0000-0000-000000000000}"/>
  <bookViews>
    <workbookView xWindow="0" yWindow="500" windowWidth="38400" windowHeight="21100" xr2:uid="{7CB4F77E-0CDE-44AA-9DB7-46EE51DA431E}"/>
  </bookViews>
  <sheets>
    <sheet name="Input Tab" sheetId="2" r:id="rId1"/>
    <sheet name="Basic ROI" sheetId="1" r:id="rId2"/>
    <sheet name="PayBack Period" sheetId="4" r:id="rId3"/>
    <sheet name="Land Owner" sheetId="3" state="hidden" r:id="rId4"/>
    <sheet name="Sheet1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2" l="1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3" i="2"/>
  <c r="H4" i="1"/>
  <c r="H5" i="1" s="1"/>
  <c r="G4" i="1"/>
  <c r="F4" i="1"/>
  <c r="E4" i="1"/>
  <c r="D4" i="1"/>
  <c r="J14" i="1"/>
  <c r="C22" i="2"/>
  <c r="C21" i="2"/>
  <c r="J4" i="1" s="1"/>
  <c r="B2" i="1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3" i="2"/>
  <c r="J24" i="1"/>
  <c r="D24" i="1" s="1"/>
  <c r="J23" i="1"/>
  <c r="J22" i="1"/>
  <c r="D22" i="1" s="1"/>
  <c r="J21" i="1"/>
  <c r="J20" i="1"/>
  <c r="D20" i="1" s="1"/>
  <c r="J19" i="1"/>
  <c r="D19" i="1" s="1"/>
  <c r="J18" i="1"/>
  <c r="D18" i="1" s="1"/>
  <c r="J17" i="1"/>
  <c r="D17" i="1" s="1"/>
  <c r="J16" i="1"/>
  <c r="D16" i="1" s="1"/>
  <c r="J15" i="1"/>
  <c r="D15" i="1" s="1"/>
  <c r="E15" i="1" s="1"/>
  <c r="F15" i="1" s="1"/>
  <c r="G15" i="1" s="1"/>
  <c r="H15" i="1" s="1"/>
  <c r="J13" i="1"/>
  <c r="D13" i="1" s="1"/>
  <c r="J12" i="1"/>
  <c r="J11" i="1"/>
  <c r="J10" i="1"/>
  <c r="D10" i="1" s="1"/>
  <c r="J9" i="1"/>
  <c r="D9" i="1" s="1"/>
  <c r="J10" i="2"/>
  <c r="D23" i="1"/>
  <c r="D21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J5" i="2"/>
  <c r="B8" i="1"/>
  <c r="J4" i="2"/>
  <c r="J8" i="1"/>
  <c r="C1" i="1"/>
  <c r="W26" i="5"/>
  <c r="W27" i="5"/>
  <c r="W28" i="5"/>
  <c r="W29" i="5"/>
  <c r="W30" i="5"/>
  <c r="W31" i="5"/>
  <c r="W32" i="5"/>
  <c r="W25" i="5"/>
  <c r="V26" i="5"/>
  <c r="V27" i="5"/>
  <c r="V28" i="5"/>
  <c r="V29" i="5"/>
  <c r="V30" i="5"/>
  <c r="V31" i="5"/>
  <c r="V32" i="5"/>
  <c r="V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25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26" i="5"/>
  <c r="P41" i="5"/>
  <c r="O41" i="5"/>
  <c r="O46" i="5"/>
  <c r="O45" i="5"/>
  <c r="N45" i="5"/>
  <c r="N44" i="5"/>
  <c r="N43" i="5"/>
  <c r="N42" i="5"/>
  <c r="N41" i="5"/>
  <c r="L43" i="5"/>
  <c r="L44" i="5" s="1"/>
  <c r="L45" i="5" s="1"/>
  <c r="L42" i="5"/>
  <c r="C13" i="3"/>
  <c r="C14" i="3"/>
  <c r="C15" i="3"/>
  <c r="C16" i="3"/>
  <c r="C17" i="3"/>
  <c r="C18" i="3"/>
  <c r="C19" i="3"/>
  <c r="C20" i="3"/>
  <c r="C12" i="3"/>
  <c r="D14" i="1" l="1"/>
  <c r="D11" i="1"/>
  <c r="D12" i="1"/>
  <c r="E9" i="1"/>
  <c r="F9" i="1" s="1"/>
  <c r="G9" i="1" s="1"/>
  <c r="H9" i="1" s="1"/>
  <c r="E24" i="1"/>
  <c r="F24" i="1" s="1"/>
  <c r="G24" i="1" s="1"/>
  <c r="H24" i="1" s="1"/>
  <c r="E10" i="1"/>
  <c r="F10" i="1" s="1"/>
  <c r="G10" i="1" s="1"/>
  <c r="H10" i="1" s="1"/>
  <c r="D5" i="1" l="1"/>
  <c r="E11" i="1" s="1"/>
  <c r="F11" i="1" s="1"/>
  <c r="G11" i="1" s="1"/>
  <c r="H11" i="1" s="1"/>
  <c r="C15" i="2"/>
  <c r="C34" i="1" s="1"/>
  <c r="D25" i="1" s="1"/>
  <c r="E23" i="1"/>
  <c r="F23" i="1" s="1"/>
  <c r="G23" i="1" s="1"/>
  <c r="H23" i="1" s="1"/>
  <c r="D8" i="1"/>
  <c r="E8" i="1" s="1"/>
  <c r="F8" i="1" s="1"/>
  <c r="G8" i="1" s="1"/>
  <c r="H8" i="1" s="1"/>
  <c r="E19" i="1"/>
  <c r="F19" i="1" s="1"/>
  <c r="G19" i="1" s="1"/>
  <c r="H19" i="1" s="1"/>
  <c r="E13" i="1"/>
  <c r="F13" i="1" s="1"/>
  <c r="G13" i="1" s="1"/>
  <c r="H13" i="1" s="1"/>
  <c r="E12" i="1"/>
  <c r="F12" i="1" s="1"/>
  <c r="G12" i="1" s="1"/>
  <c r="H12" i="1" s="1"/>
  <c r="D31" i="1" l="1"/>
  <c r="E31" i="1" s="1"/>
  <c r="F31" i="1" s="1"/>
  <c r="G31" i="1" s="1"/>
  <c r="H31" i="1" s="1"/>
  <c r="E5" i="1"/>
  <c r="F5" i="1"/>
  <c r="E14" i="1"/>
  <c r="F14" i="1" s="1"/>
  <c r="G14" i="1" s="1"/>
  <c r="H14" i="1" s="1"/>
  <c r="E18" i="1"/>
  <c r="F18" i="1" s="1"/>
  <c r="G18" i="1" s="1"/>
  <c r="H18" i="1" s="1"/>
  <c r="G5" i="1"/>
  <c r="E21" i="1"/>
  <c r="F21" i="1" s="1"/>
  <c r="G21" i="1" s="1"/>
  <c r="H21" i="1" s="1"/>
  <c r="E16" i="1"/>
  <c r="F16" i="1" s="1"/>
  <c r="G16" i="1" s="1"/>
  <c r="H16" i="1" s="1"/>
  <c r="E20" i="1"/>
  <c r="F20" i="1" s="1"/>
  <c r="G20" i="1" s="1"/>
  <c r="H20" i="1" s="1"/>
  <c r="E22" i="1"/>
  <c r="F22" i="1" s="1"/>
  <c r="G22" i="1" s="1"/>
  <c r="H22" i="1" s="1"/>
  <c r="E17" i="1"/>
  <c r="F17" i="1" s="1"/>
  <c r="G17" i="1" s="1"/>
  <c r="H17" i="1" s="1"/>
  <c r="D26" i="1" l="1"/>
  <c r="D28" i="1" s="1"/>
  <c r="E25" i="1"/>
  <c r="E26" i="1" s="1"/>
  <c r="F25" i="1" l="1"/>
  <c r="E28" i="1"/>
  <c r="E29" i="1" s="1"/>
  <c r="D29" i="1"/>
  <c r="D30" i="1" s="1"/>
  <c r="G25" i="1" l="1"/>
  <c r="F26" i="1"/>
  <c r="F28" i="1" s="1"/>
  <c r="F29" i="1" s="1"/>
  <c r="E30" i="1"/>
  <c r="F30" i="1" l="1"/>
  <c r="H25" i="1"/>
  <c r="H26" i="1" s="1"/>
  <c r="H28" i="1" s="1"/>
  <c r="H29" i="1" s="1"/>
  <c r="G26" i="1"/>
  <c r="G28" i="1" s="1"/>
  <c r="G29" i="1" s="1"/>
  <c r="G30" i="1" l="1"/>
  <c r="H30" i="1" s="1"/>
  <c r="C32" i="1" l="1"/>
  <c r="C36" i="1" s="1"/>
</calcChain>
</file>

<file path=xl/sharedStrings.xml><?xml version="1.0" encoding="utf-8"?>
<sst xmlns="http://schemas.openxmlformats.org/spreadsheetml/2006/main" count="187" uniqueCount="145">
  <si>
    <t>Targeted Grazing Model</t>
  </si>
  <si>
    <t>Revenues</t>
  </si>
  <si>
    <t>Daily Grazing</t>
  </si>
  <si>
    <t>Expenses</t>
  </si>
  <si>
    <t>Permits</t>
  </si>
  <si>
    <t>Maintenance</t>
  </si>
  <si>
    <t>Predator Protection</t>
  </si>
  <si>
    <t>Year 1</t>
  </si>
  <si>
    <t>Other feed/supplements</t>
  </si>
  <si>
    <t>Animal Health/Vet</t>
  </si>
  <si>
    <t>Advertising</t>
  </si>
  <si>
    <t>Per Month Average</t>
  </si>
  <si>
    <t>Other Expenses</t>
  </si>
  <si>
    <t>Total Revenues</t>
  </si>
  <si>
    <t>Total Expenses</t>
  </si>
  <si>
    <t>Profit</t>
  </si>
  <si>
    <t>PV</t>
  </si>
  <si>
    <t>Initial Expenses</t>
  </si>
  <si>
    <t>Water for Animals</t>
  </si>
  <si>
    <t>Replacement Livestock</t>
  </si>
  <si>
    <t>Fill In Below</t>
  </si>
  <si>
    <t>Fill In</t>
  </si>
  <si>
    <t>General Liability Insurance</t>
  </si>
  <si>
    <t>Worker's Comp</t>
  </si>
  <si>
    <t>Discount Rate for Present Value (PV)</t>
  </si>
  <si>
    <t>When these cross, that is the number of years the profits from providing targeted grazing pays back for initial expenses in present value (PV)</t>
  </si>
  <si>
    <t>Lower Insurance Costs</t>
  </si>
  <si>
    <t xml:space="preserve">Lower Maintenance Costs </t>
  </si>
  <si>
    <t xml:space="preserve">Better Revenue on Crops </t>
  </si>
  <si>
    <t>Higher Land Values</t>
  </si>
  <si>
    <t>Current Year</t>
  </si>
  <si>
    <t>Total</t>
  </si>
  <si>
    <t>Revenue: per acre</t>
  </si>
  <si>
    <t>Potential Alternatives and Sample Costs:</t>
  </si>
  <si>
    <t>Cost per Acre</t>
  </si>
  <si>
    <t>Marin Municipal Water District Grazing Feasibility Study</t>
  </si>
  <si>
    <t>Inflation Factor</t>
  </si>
  <si>
    <t>Option</t>
  </si>
  <si>
    <t>Retreatment of
fuels in existing fuelbreaks</t>
  </si>
  <si>
    <t>Cyclical mowing of
fine fuels</t>
  </si>
  <si>
    <t>Cyclical [hand] removal of broom in Optimized and Transitional Zones</t>
  </si>
  <si>
    <t>Roadside mowing</t>
  </si>
  <si>
    <t>Reduce accumulated fuels and brush in forests</t>
  </si>
  <si>
    <t>Douglas-fir thinning
in oak woodlands and grasslands</t>
  </si>
  <si>
    <t>Broom, initial removal in oak woodlands and
grasslands</t>
  </si>
  <si>
    <t>Yellow starthistle</t>
  </si>
  <si>
    <t>Goat grass</t>
  </si>
  <si>
    <t>Growth Rate Annually</t>
  </si>
  <si>
    <t>ROI over 12 years</t>
  </si>
  <si>
    <t>Land Owner: Why Use Targeted Grazing?</t>
  </si>
  <si>
    <t>Monthly Averages</t>
  </si>
  <si>
    <t>Wages for Labor (Not for the Owner)</t>
  </si>
  <si>
    <t>Wages/Salary Owner could make otherwise</t>
  </si>
  <si>
    <t>Rental for land</t>
  </si>
  <si>
    <t>ATV</t>
  </si>
  <si>
    <t>Notes: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</si>
  <si>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Cost study: similar to UC Coop Extension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</si>
  <si>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To start a business: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</si>
  <si>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ATV = </t>
    </r>
    <r>
      <rPr>
        <b/>
        <sz val="11"/>
        <color theme="1"/>
        <rFont val="Calibri"/>
        <family val="2"/>
        <scheme val="minor"/>
      </rPr>
      <t>$10,000</t>
    </r>
  </si>
  <si>
    <r>
      <t>c.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Camp trailer = </t>
    </r>
    <r>
      <rPr>
        <b/>
        <sz val="11"/>
        <color theme="1"/>
        <rFont val="Calibri"/>
        <family val="2"/>
        <scheme val="minor"/>
      </rPr>
      <t>$20,000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</si>
  <si>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Double-Decker trailer for sheep and goats = $</t>
    </r>
    <r>
      <rPr>
        <b/>
        <sz val="11"/>
        <color theme="1"/>
        <rFont val="Calibri"/>
        <family val="2"/>
        <scheme val="minor"/>
      </rPr>
      <t>25,000</t>
    </r>
  </si>
  <si>
    <r>
      <t>e.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Fencing: netting and electric charger = </t>
    </r>
    <r>
      <rPr>
        <b/>
        <sz val="11"/>
        <color theme="1"/>
        <rFont val="Calibri"/>
        <family val="2"/>
        <scheme val="minor"/>
      </rPr>
      <t>$25,000</t>
    </r>
  </si>
  <si>
    <r>
      <t>f.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Guard Dogs = </t>
    </r>
    <r>
      <rPr>
        <b/>
        <sz val="11"/>
        <color theme="1"/>
        <rFont val="Calibri"/>
        <family val="2"/>
        <scheme val="minor"/>
      </rPr>
      <t>$10,000</t>
    </r>
  </si>
  <si>
    <r>
      <t>g.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Wages and herding should be the same cost line item</t>
    </r>
  </si>
  <si>
    <r>
      <t>h.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GL insurance = $75 per month</t>
    </r>
  </si>
  <si>
    <r>
      <t>i.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Auto = $650 per month</t>
    </r>
  </si>
  <si>
    <r>
      <t>j.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Portable Loading corrals = $48,000 (start up for beef), $7,000 for sheep/goats**</t>
    </r>
  </si>
  <si>
    <r>
      <t>k.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Extra panels = $100 per panel x 10</t>
    </r>
  </si>
  <si>
    <r>
      <t>l.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200-300 sheep or goats</t>
    </r>
  </si>
  <si>
    <r>
      <t xml:space="preserve">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Sheep = $200</t>
    </r>
  </si>
  <si>
    <r>
      <t xml:space="preserve">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ii.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Goat = $250</t>
    </r>
  </si>
  <si>
    <r>
      <t xml:space="preserve">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iii.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Beef = $2,500</t>
    </r>
  </si>
  <si>
    <r>
      <t xml:space="preserve">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iv.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Cull 20% of herd (turnover rate), cost of disposal</t>
    </r>
  </si>
  <si>
    <r>
      <t xml:space="preserve">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v.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Replacements purchased for first five years, turnover rate from 20% to 10% per year</t>
    </r>
  </si>
  <si>
    <r>
      <t>m.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Homebase</t>
    </r>
  </si>
  <si>
    <r>
      <t xml:space="preserve">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Storage: pro bono (or $50 per acre per year)</t>
    </r>
  </si>
  <si>
    <r>
      <t xml:space="preserve">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ii.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Would not have a barn or additional costs for storage otherwise as an assumption</t>
    </r>
  </si>
  <si>
    <r>
      <t>n.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Labor:</t>
    </r>
  </si>
  <si>
    <r>
      <t xml:space="preserve">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While grazing: herder with them 8 or 24 hours</t>
    </r>
  </si>
  <si>
    <r>
      <t xml:space="preserve">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ii.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Moving means labor rises (second herder)</t>
    </r>
  </si>
  <si>
    <r>
      <t xml:space="preserve">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iii.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Peruvian people: H2A visas, the main source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</si>
  <si>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Owner or herder workforce development</t>
    </r>
  </si>
  <si>
    <r>
      <t>o.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Lambing at home base: two months</t>
    </r>
  </si>
  <si>
    <r>
      <t xml:space="preserve">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Wean early</t>
    </r>
  </si>
  <si>
    <r>
      <t>p.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No need for fire protection</t>
    </r>
  </si>
  <si>
    <r>
      <t xml:space="preserve">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i.</t>
    </r>
    <r>
      <rPr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Storage and no barn</t>
    </r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</si>
  <si>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No real market for selling animals</t>
    </r>
  </si>
  <si>
    <r>
      <t>2.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Number of jobs per month?</t>
    </r>
  </si>
  <si>
    <r>
      <t>3.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100 acres is the scale threshold for per day to per acre  (two models)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</si>
  <si>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Paid per day or per acre</t>
    </r>
  </si>
  <si>
    <r>
      <t>a.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Per Day</t>
    </r>
  </si>
  <si>
    <r>
      <t xml:space="preserve">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$500/herd/day</t>
    </r>
  </si>
  <si>
    <r>
      <t xml:space="preserve">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ii.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$3,500 set up and knock down fee</t>
    </r>
  </si>
  <si>
    <r>
      <t xml:space="preserve">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iii.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$10,000 min charge (does this include all charges?)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</si>
  <si>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Per acre =</t>
    </r>
  </si>
  <si>
    <r>
      <t xml:space="preserve">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 xml:space="preserve">125 acres or more = $1,100 per acre = </t>
    </r>
    <r>
      <rPr>
        <b/>
        <sz val="11"/>
        <color theme="1"/>
        <rFont val="Calibri"/>
        <family val="2"/>
        <scheme val="minor"/>
      </rPr>
      <t>how many per month</t>
    </r>
    <r>
      <rPr>
        <sz val="11"/>
        <color theme="1"/>
        <rFont val="Calibri"/>
        <family val="2"/>
        <scheme val="minor"/>
      </rPr>
      <t>?</t>
    </r>
  </si>
  <si>
    <r>
      <t xml:space="preserve">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ii.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1 acre = $6,600 (x number of acres below 125)</t>
    </r>
  </si>
  <si>
    <r>
      <t>c.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Two months per year no revenue</t>
    </r>
  </si>
  <si>
    <r>
      <t>d.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Use two models of revenue and have a toggle between the models.</t>
    </r>
  </si>
  <si>
    <r>
      <t xml:space="preserve"> 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Sheep and goats for all but vernal pools</t>
    </r>
  </si>
  <si>
    <r>
      <t xml:space="preserve">                                                   </t>
    </r>
    <r>
      <rPr>
        <sz val="11"/>
        <color theme="1"/>
        <rFont val="Calibri"/>
        <family val="2"/>
        <scheme val="minor"/>
      </rPr>
      <t>ii.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Cows for vernal pools</t>
    </r>
  </si>
  <si>
    <t>X</t>
  </si>
  <si>
    <r>
      <t>a.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Water trailer = $10,000</t>
    </r>
  </si>
  <si>
    <t>head</t>
  </si>
  <si>
    <t>Amortization of Initial Expenses</t>
  </si>
  <si>
    <t>Present Value (PV) Profit</t>
  </si>
  <si>
    <t>Cumulative PV</t>
  </si>
  <si>
    <t>Start-up Expenses</t>
  </si>
  <si>
    <t>Day</t>
  </si>
  <si>
    <t>Acre</t>
  </si>
  <si>
    <t>Per Acre Charge</t>
  </si>
  <si>
    <t>Camp Trailer</t>
  </si>
  <si>
    <t>Portable Corrals (sheep and goats)</t>
  </si>
  <si>
    <t>Extra panels (as inventory)</t>
  </si>
  <si>
    <t>Initial Livestock Purchase</t>
  </si>
  <si>
    <t>Other Initial Expense</t>
  </si>
  <si>
    <t>per month</t>
  </si>
  <si>
    <t>In heavy outlined boxes, change numbers as needed</t>
  </si>
  <si>
    <t>Pick:</t>
  </si>
  <si>
    <t>Per Head</t>
  </si>
  <si>
    <t>Head</t>
  </si>
  <si>
    <t>Owned</t>
  </si>
  <si>
    <t>Lost Livestock (Disposal Cost)</t>
  </si>
  <si>
    <t>assumes 20% annual turnover</t>
  </si>
  <si>
    <t>Fuel/Hauling Expenses that are not labor</t>
  </si>
  <si>
    <t>(1) Initial Expenses</t>
  </si>
  <si>
    <t>(2) Operating Expenses</t>
  </si>
  <si>
    <t>Livestock Feed</t>
  </si>
  <si>
    <t>(3) Revenue Projections</t>
  </si>
  <si>
    <t>Acres for Per-Acre Pricing</t>
  </si>
  <si>
    <t>Daily acres for Per-Day Pricing</t>
  </si>
  <si>
    <t>(4) Per Day or Per Acre?</t>
  </si>
  <si>
    <t>Per Day Average Price per acre</t>
  </si>
  <si>
    <t>Per Month Average Revenue at Year 5</t>
  </si>
  <si>
    <t>Guard Dogs + Herd Dogs</t>
  </si>
  <si>
    <t>Pickup to haul camp trailer</t>
  </si>
  <si>
    <t>Pickup with Gooseneck (livestock haul)</t>
  </si>
  <si>
    <t>Set-up Charges per month ($10,000 per)</t>
  </si>
  <si>
    <t>Some data sourced from UC Coop Sheep Study in San Joaquin Valley (2022)</t>
  </si>
  <si>
    <t>2 set-ups</t>
  </si>
  <si>
    <t>Fencing</t>
  </si>
  <si>
    <t>Water Storage</t>
  </si>
  <si>
    <t>Please pick "Day" or "Acre"</t>
  </si>
  <si>
    <t>Livestock Trailer (two decks for sheep/goats)</t>
  </si>
  <si>
    <t>Growth from initial year to year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</si>
</sst>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0" fillId="0" borderId="0" xfId="2" applyNumberFormat="1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6" fontId="2" fillId="0" borderId="0" xfId="0" applyNumberFormat="1" applyFont="1"/>
    <xf numFmtId="165" fontId="0" fillId="0" borderId="1" xfId="2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165" fontId="2" fillId="0" borderId="0" xfId="2" applyNumberFormat="1" applyFont="1"/>
    <xf numFmtId="0" fontId="0" fillId="0" borderId="2" xfId="0" applyBorder="1"/>
    <xf numFmtId="6" fontId="0" fillId="0" borderId="3" xfId="0" applyNumberFormat="1" applyBorder="1"/>
    <xf numFmtId="0" fontId="0" fillId="0" borderId="3" xfId="0" applyBorder="1"/>
    <xf numFmtId="164" fontId="0" fillId="0" borderId="3" xfId="1" applyNumberFormat="1" applyFont="1" applyFill="1" applyBorder="1"/>
    <xf numFmtId="0" fontId="0" fillId="0" borderId="1" xfId="0" applyBorder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10"/>
    </xf>
    <xf numFmtId="0" fontId="5" fillId="0" borderId="0" xfId="0" applyFont="1" applyAlignment="1">
      <alignment horizontal="left" vertical="center" indent="15"/>
    </xf>
    <xf numFmtId="0" fontId="0" fillId="0" borderId="0" xfId="0" applyAlignment="1">
      <alignment horizontal="left" vertical="center" indent="15"/>
    </xf>
    <xf numFmtId="0" fontId="2" fillId="0" borderId="0" xfId="0" applyFont="1" applyAlignment="1">
      <alignment horizontal="left" vertical="center" indent="10"/>
    </xf>
    <xf numFmtId="0" fontId="3" fillId="0" borderId="0" xfId="0" applyFont="1" applyAlignment="1">
      <alignment horizontal="left" vertical="center" indent="5"/>
    </xf>
    <xf numFmtId="166" fontId="0" fillId="0" borderId="0" xfId="3" applyNumberFormat="1" applyFont="1"/>
    <xf numFmtId="164" fontId="0" fillId="0" borderId="0" xfId="1" applyNumberFormat="1" applyFont="1" applyBorder="1"/>
    <xf numFmtId="6" fontId="0" fillId="0" borderId="0" xfId="0" applyNumberFormat="1"/>
    <xf numFmtId="6" fontId="0" fillId="0" borderId="1" xfId="0" applyNumberFormat="1" applyBorder="1" applyAlignment="1">
      <alignment horizontal="right" vertical="center" wrapText="1"/>
    </xf>
    <xf numFmtId="6" fontId="0" fillId="0" borderId="5" xfId="0" applyNumberFormat="1" applyBorder="1" applyAlignment="1">
      <alignment vertical="center" wrapText="1"/>
    </xf>
    <xf numFmtId="6" fontId="0" fillId="0" borderId="4" xfId="0" applyNumberFormat="1" applyBorder="1" applyAlignment="1">
      <alignment horizontal="right" vertical="center" wrapText="1"/>
    </xf>
    <xf numFmtId="6" fontId="7" fillId="0" borderId="4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6" fontId="0" fillId="0" borderId="6" xfId="0" applyNumberFormat="1" applyBorder="1" applyAlignment="1">
      <alignment vertical="center" wrapText="1"/>
    </xf>
    <xf numFmtId="8" fontId="0" fillId="0" borderId="0" xfId="0" applyNumberFormat="1"/>
    <xf numFmtId="0" fontId="2" fillId="0" borderId="1" xfId="0" applyFont="1" applyBorder="1"/>
    <xf numFmtId="164" fontId="0" fillId="0" borderId="1" xfId="1" applyNumberFormat="1" applyFont="1" applyBorder="1"/>
    <xf numFmtId="0" fontId="0" fillId="0" borderId="7" xfId="0" applyBorder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153FA6C2-D5D8-4CED-AF82-E98D8CE299D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Present Value Profits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'Basic ROI'!$D$30:$H$30</c:f>
              <c:numCache>
                <c:formatCode>_("$"* #,##0_);_("$"* \(#,##0\);_("$"* "-"??_);_(@_)</c:formatCode>
                <c:ptCount val="5"/>
                <c:pt idx="0">
                  <c:v>26250</c:v>
                </c:pt>
                <c:pt idx="1">
                  <c:v>101079.04761904762</c:v>
                </c:pt>
                <c:pt idx="2">
                  <c:v>201401.60090702947</c:v>
                </c:pt>
                <c:pt idx="3">
                  <c:v>358907.7306554367</c:v>
                </c:pt>
                <c:pt idx="4">
                  <c:v>600557.11497863533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B-4438-B2DD-171A58E99CF7}"/>
            </c:ext>
          </c:extLst>
        </c:ser>
        <c:ser>
          <c:idx val="1"/>
          <c:order val="1"/>
          <c:tx>
            <c:v>Initial Expenses in PV</c:v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'Basic ROI'!$D$31:$H$31</c:f>
              <c:numCache>
                <c:formatCode>_("$"* #,##0_);_("$"* \(#,##0\);_("$"* "-"??_);_(@_)</c:formatCode>
                <c:ptCount val="5"/>
                <c:pt idx="0">
                  <c:v>125500</c:v>
                </c:pt>
                <c:pt idx="1">
                  <c:v>125500</c:v>
                </c:pt>
                <c:pt idx="2">
                  <c:v>125500</c:v>
                </c:pt>
                <c:pt idx="3">
                  <c:v>125500</c:v>
                </c:pt>
                <c:pt idx="4">
                  <c:v>125500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B-4438-B2DD-171A58E99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766191"/>
        <c:axId val="820767855"/>
      </c:lineChart>
      <c:catAx>
        <c:axId val="8207661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767855"/>
        <c:crosses val="autoZero"/>
        <c:auto val="1"/>
        <c:lblAlgn val="ctr"/>
        <c:lblOffset val="100"/>
        <c:noMultiLvlLbl val="0"/>
      </c:catAx>
      <c:valAx>
        <c:axId val="82076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PV Profits and Expenses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766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4</xdr:row>
      <xdr:rowOff>22860</xdr:rowOff>
    </xdr:from>
    <xdr:to>
      <xdr:col>12</xdr:col>
      <xdr:colOff>182880</xdr:colOff>
      <xdr:row>21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311899-1709-6759-1A6B-A15CA62A61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AB205-F5E6-4615-9401-D998EA69EB9D}">
  <dimension ref="A1:O29"/>
  <sheetViews>
    <sheetView tabSelected="1" workbookViewId="0">
      <selection activeCell="F28" sqref="F28"/>
    </sheetView>
  </sheetViews>
  <sheetFormatPr baseColWidth="10" defaultColWidth="8.83203125" defaultRowHeight="15" x14ac:dyDescent="0.2"/>
  <cols>
    <col min="1" max="1" width="39.5" bestFit="1" customWidth="1"/>
    <col min="2" max="2" width="10.1640625" bestFit="1" customWidth="1"/>
    <col min="3" max="3" width="11.33203125" customWidth="1"/>
    <col min="7" max="7" width="36.5" customWidth="1"/>
    <col min="8" max="8" width="15.6640625" bestFit="1" customWidth="1"/>
    <col min="9" max="9" width="8.6640625" bestFit="1" customWidth="1"/>
    <col min="10" max="10" width="5.1640625" bestFit="1" customWidth="1"/>
    <col min="15" max="15" width="11.5" customWidth="1"/>
  </cols>
  <sheetData>
    <row r="1" spans="1:15" ht="16" thickBot="1" x14ac:dyDescent="0.25">
      <c r="A1" t="s">
        <v>117</v>
      </c>
      <c r="H1" t="s">
        <v>50</v>
      </c>
      <c r="J1" s="17">
        <v>250</v>
      </c>
      <c r="K1" t="s">
        <v>103</v>
      </c>
    </row>
    <row r="2" spans="1:15" ht="16" thickBot="1" x14ac:dyDescent="0.25">
      <c r="A2" s="4" t="s">
        <v>125</v>
      </c>
      <c r="C2" s="6" t="s">
        <v>21</v>
      </c>
      <c r="G2" s="4" t="s">
        <v>126</v>
      </c>
      <c r="H2" s="4" t="s">
        <v>20</v>
      </c>
      <c r="I2" t="s">
        <v>119</v>
      </c>
      <c r="J2" t="s">
        <v>120</v>
      </c>
    </row>
    <row r="3" spans="1:15" x14ac:dyDescent="0.2">
      <c r="A3" t="s">
        <v>141</v>
      </c>
      <c r="C3" s="9">
        <v>2500</v>
      </c>
      <c r="G3" t="s">
        <v>127</v>
      </c>
      <c r="H3" s="9">
        <v>625</v>
      </c>
      <c r="I3" s="1">
        <f>H3/J3*12</f>
        <v>30</v>
      </c>
      <c r="J3">
        <v>250</v>
      </c>
      <c r="O3" s="2">
        <f>H3*12</f>
        <v>7500</v>
      </c>
    </row>
    <row r="4" spans="1:15" x14ac:dyDescent="0.2">
      <c r="A4" t="s">
        <v>54</v>
      </c>
      <c r="C4" s="10">
        <v>10000</v>
      </c>
      <c r="G4" t="s">
        <v>19</v>
      </c>
      <c r="H4" s="10">
        <v>833.33333333333337</v>
      </c>
      <c r="I4" s="1">
        <f t="shared" ref="I4:I19" si="0">H4/J4*12</f>
        <v>200</v>
      </c>
      <c r="J4">
        <f>J3*0.2</f>
        <v>50</v>
      </c>
      <c r="K4" t="s">
        <v>123</v>
      </c>
      <c r="O4" s="2">
        <f t="shared" ref="O4:O19" si="1">H4*12</f>
        <v>10000</v>
      </c>
    </row>
    <row r="5" spans="1:15" x14ac:dyDescent="0.2">
      <c r="A5" t="s">
        <v>111</v>
      </c>
      <c r="C5" s="10">
        <v>20000</v>
      </c>
      <c r="G5" t="s">
        <v>18</v>
      </c>
      <c r="H5" s="10">
        <v>416.66666666666669</v>
      </c>
      <c r="I5" s="1">
        <f t="shared" si="0"/>
        <v>20</v>
      </c>
      <c r="J5">
        <f>J3</f>
        <v>250</v>
      </c>
      <c r="O5" s="2">
        <f t="shared" si="1"/>
        <v>5000</v>
      </c>
    </row>
    <row r="6" spans="1:15" x14ac:dyDescent="0.2">
      <c r="A6" t="s">
        <v>143</v>
      </c>
      <c r="C6" s="10">
        <v>25000</v>
      </c>
      <c r="G6" t="s">
        <v>124</v>
      </c>
      <c r="H6" s="10">
        <v>625</v>
      </c>
      <c r="I6" s="1">
        <f t="shared" si="0"/>
        <v>30</v>
      </c>
      <c r="J6">
        <v>250</v>
      </c>
      <c r="O6" s="2">
        <f t="shared" si="1"/>
        <v>7500</v>
      </c>
    </row>
    <row r="7" spans="1:15" x14ac:dyDescent="0.2">
      <c r="A7" t="s">
        <v>134</v>
      </c>
      <c r="C7" s="10">
        <v>7500</v>
      </c>
      <c r="G7" t="s">
        <v>4</v>
      </c>
      <c r="H7" s="10">
        <v>208.33333333333334</v>
      </c>
      <c r="I7" s="1">
        <f t="shared" si="0"/>
        <v>10</v>
      </c>
      <c r="J7">
        <v>250</v>
      </c>
      <c r="O7" s="2">
        <f t="shared" si="1"/>
        <v>2500</v>
      </c>
    </row>
    <row r="8" spans="1:15" x14ac:dyDescent="0.2">
      <c r="A8" t="s">
        <v>112</v>
      </c>
      <c r="C8" s="10">
        <v>7000</v>
      </c>
      <c r="G8" t="s">
        <v>51</v>
      </c>
      <c r="H8" s="10">
        <v>7200</v>
      </c>
      <c r="I8" s="1">
        <f t="shared" si="0"/>
        <v>345.6</v>
      </c>
      <c r="J8">
        <v>250</v>
      </c>
      <c r="O8" s="2">
        <f t="shared" si="1"/>
        <v>86400</v>
      </c>
    </row>
    <row r="9" spans="1:15" x14ac:dyDescent="0.2">
      <c r="A9" t="s">
        <v>113</v>
      </c>
      <c r="C9" s="10">
        <v>1000</v>
      </c>
      <c r="G9" t="s">
        <v>52</v>
      </c>
      <c r="H9" s="10">
        <v>8333.3333333333339</v>
      </c>
      <c r="I9" s="1">
        <f t="shared" si="0"/>
        <v>400</v>
      </c>
      <c r="J9">
        <v>250</v>
      </c>
      <c r="O9" s="2">
        <f t="shared" si="1"/>
        <v>100000</v>
      </c>
    </row>
    <row r="10" spans="1:15" x14ac:dyDescent="0.2">
      <c r="A10" t="s">
        <v>114</v>
      </c>
      <c r="C10" s="10">
        <v>50000</v>
      </c>
      <c r="G10" t="s">
        <v>122</v>
      </c>
      <c r="H10" s="10">
        <v>83.333333333333329</v>
      </c>
      <c r="I10" s="1">
        <f t="shared" si="0"/>
        <v>4</v>
      </c>
      <c r="J10">
        <f>J3</f>
        <v>250</v>
      </c>
      <c r="O10" s="2">
        <f t="shared" si="1"/>
        <v>1000</v>
      </c>
    </row>
    <row r="11" spans="1:15" x14ac:dyDescent="0.2">
      <c r="A11" t="s">
        <v>136</v>
      </c>
      <c r="C11" s="10" t="s">
        <v>121</v>
      </c>
      <c r="G11" t="s">
        <v>22</v>
      </c>
      <c r="H11" s="10">
        <v>208.33333333333334</v>
      </c>
      <c r="I11" s="1">
        <f t="shared" si="0"/>
        <v>10</v>
      </c>
      <c r="J11">
        <v>250</v>
      </c>
      <c r="O11" s="2">
        <f t="shared" si="1"/>
        <v>2500</v>
      </c>
    </row>
    <row r="12" spans="1:15" x14ac:dyDescent="0.2">
      <c r="A12" t="s">
        <v>135</v>
      </c>
      <c r="C12" s="16" t="s">
        <v>121</v>
      </c>
      <c r="G12" t="s">
        <v>5</v>
      </c>
      <c r="H12" s="10">
        <v>208.33333333333334</v>
      </c>
      <c r="I12" s="1">
        <f t="shared" si="0"/>
        <v>10</v>
      </c>
      <c r="J12">
        <v>250</v>
      </c>
      <c r="O12" s="2">
        <f t="shared" si="1"/>
        <v>2500</v>
      </c>
    </row>
    <row r="13" spans="1:15" x14ac:dyDescent="0.2">
      <c r="A13" t="s">
        <v>140</v>
      </c>
      <c r="C13" s="10">
        <v>2500</v>
      </c>
      <c r="G13" t="s">
        <v>6</v>
      </c>
      <c r="H13" s="10">
        <v>625</v>
      </c>
      <c r="I13" s="1">
        <f t="shared" si="0"/>
        <v>30</v>
      </c>
      <c r="J13">
        <v>250</v>
      </c>
      <c r="O13" s="2">
        <f t="shared" si="1"/>
        <v>7500</v>
      </c>
    </row>
    <row r="14" spans="1:15" ht="16" thickBot="1" x14ac:dyDescent="0.25">
      <c r="A14" t="s">
        <v>115</v>
      </c>
      <c r="C14" s="11"/>
      <c r="G14" t="s">
        <v>8</v>
      </c>
      <c r="H14" s="10">
        <v>208.33333333333334</v>
      </c>
      <c r="I14" s="1">
        <f t="shared" si="0"/>
        <v>10</v>
      </c>
      <c r="J14">
        <v>250</v>
      </c>
      <c r="O14" s="2">
        <f t="shared" si="1"/>
        <v>2500</v>
      </c>
    </row>
    <row r="15" spans="1:15" x14ac:dyDescent="0.2">
      <c r="A15" s="4" t="s">
        <v>31</v>
      </c>
      <c r="B15" s="4"/>
      <c r="C15" s="7">
        <f>SUM(C3:C14)</f>
        <v>125500</v>
      </c>
      <c r="G15" t="s">
        <v>9</v>
      </c>
      <c r="H15" s="10">
        <v>208.33333333333334</v>
      </c>
      <c r="I15" s="1">
        <f t="shared" si="0"/>
        <v>10</v>
      </c>
      <c r="J15">
        <v>250</v>
      </c>
      <c r="O15" s="2">
        <f t="shared" si="1"/>
        <v>2500</v>
      </c>
    </row>
    <row r="16" spans="1:15" x14ac:dyDescent="0.2">
      <c r="G16" t="s">
        <v>10</v>
      </c>
      <c r="H16" s="10">
        <v>208.33333333333334</v>
      </c>
      <c r="I16" s="1">
        <f t="shared" si="0"/>
        <v>10</v>
      </c>
      <c r="J16">
        <v>250</v>
      </c>
      <c r="O16" s="2">
        <f t="shared" si="1"/>
        <v>2500</v>
      </c>
    </row>
    <row r="17" spans="1:15" ht="16" thickBot="1" x14ac:dyDescent="0.25">
      <c r="A17" s="4" t="s">
        <v>128</v>
      </c>
      <c r="C17" s="6" t="s">
        <v>21</v>
      </c>
      <c r="G17" t="s">
        <v>23</v>
      </c>
      <c r="H17" s="10">
        <v>208.33333333333334</v>
      </c>
      <c r="I17" s="1">
        <f t="shared" si="0"/>
        <v>10</v>
      </c>
      <c r="J17">
        <v>250</v>
      </c>
      <c r="O17" s="2">
        <f t="shared" si="1"/>
        <v>2500</v>
      </c>
    </row>
    <row r="18" spans="1:15" x14ac:dyDescent="0.2">
      <c r="A18" t="s">
        <v>129</v>
      </c>
      <c r="C18" s="13">
        <v>60</v>
      </c>
      <c r="D18" t="s">
        <v>116</v>
      </c>
      <c r="G18" t="s">
        <v>53</v>
      </c>
      <c r="H18" s="10">
        <v>416.66666666666669</v>
      </c>
      <c r="I18" s="1">
        <f t="shared" si="0"/>
        <v>20</v>
      </c>
      <c r="J18">
        <v>250</v>
      </c>
      <c r="O18" s="2">
        <f t="shared" si="1"/>
        <v>5000</v>
      </c>
    </row>
    <row r="19" spans="1:15" ht="16" thickBot="1" x14ac:dyDescent="0.25">
      <c r="A19" t="s">
        <v>110</v>
      </c>
      <c r="C19" s="14">
        <v>700</v>
      </c>
      <c r="G19" t="s">
        <v>12</v>
      </c>
      <c r="H19" s="11">
        <v>104.16666666666667</v>
      </c>
      <c r="I19" s="1">
        <f t="shared" si="0"/>
        <v>5</v>
      </c>
      <c r="J19">
        <v>250</v>
      </c>
      <c r="O19" s="2">
        <f t="shared" si="1"/>
        <v>1250</v>
      </c>
    </row>
    <row r="20" spans="1:15" ht="16" thickBot="1" x14ac:dyDescent="0.25">
      <c r="A20" t="s">
        <v>137</v>
      </c>
      <c r="C20" s="14">
        <v>20000</v>
      </c>
      <c r="D20" t="s">
        <v>139</v>
      </c>
      <c r="G20" t="s">
        <v>138</v>
      </c>
    </row>
    <row r="21" spans="1:15" ht="16" thickBot="1" x14ac:dyDescent="0.25">
      <c r="A21" s="38" t="s">
        <v>130</v>
      </c>
      <c r="B21" s="17">
        <v>2</v>
      </c>
      <c r="C21" s="15">
        <f>B21*30</f>
        <v>60</v>
      </c>
    </row>
    <row r="22" spans="1:15" ht="16" thickBot="1" x14ac:dyDescent="0.25">
      <c r="A22" t="s">
        <v>132</v>
      </c>
      <c r="B22" s="37">
        <v>1000</v>
      </c>
      <c r="C22" s="11">
        <f>B22</f>
        <v>1000</v>
      </c>
      <c r="D22" s="2"/>
      <c r="G22" s="4"/>
    </row>
    <row r="23" spans="1:15" ht="16" thickBot="1" x14ac:dyDescent="0.25">
      <c r="G23" s="4"/>
    </row>
    <row r="24" spans="1:15" ht="16" thickBot="1" x14ac:dyDescent="0.25">
      <c r="A24" s="4" t="s">
        <v>131</v>
      </c>
      <c r="B24" t="s">
        <v>118</v>
      </c>
      <c r="C24" s="36" t="s">
        <v>108</v>
      </c>
      <c r="G24" s="4"/>
    </row>
    <row r="25" spans="1:15" x14ac:dyDescent="0.2">
      <c r="A25" t="s">
        <v>142</v>
      </c>
      <c r="G25" s="4"/>
    </row>
    <row r="26" spans="1:15" x14ac:dyDescent="0.2">
      <c r="A26" t="s">
        <v>108</v>
      </c>
      <c r="G26" s="4"/>
    </row>
    <row r="27" spans="1:15" x14ac:dyDescent="0.2">
      <c r="A27" t="s">
        <v>109</v>
      </c>
    </row>
    <row r="28" spans="1:15" ht="16" thickBot="1" x14ac:dyDescent="0.25"/>
    <row r="29" spans="1:15" ht="16" thickBot="1" x14ac:dyDescent="0.25">
      <c r="A29" s="4" t="s">
        <v>24</v>
      </c>
      <c r="B29" s="8">
        <v>0.05</v>
      </c>
    </row>
  </sheetData>
  <dataValidations count="1">
    <dataValidation type="list" allowBlank="1" showInputMessage="1" showErrorMessage="1" sqref="C24" xr:uid="{2F3E35EB-E06F-4DF3-8352-4E4C39F88D3A}">
      <formula1>$A$26:$A$27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338DB-9B47-4014-BE21-91D744E5C314}">
  <dimension ref="A1:M37"/>
  <sheetViews>
    <sheetView zoomScale="85" zoomScaleNormal="85" workbookViewId="0">
      <selection activeCell="B32" sqref="B32"/>
    </sheetView>
  </sheetViews>
  <sheetFormatPr baseColWidth="10" defaultColWidth="8.83203125" defaultRowHeight="15" x14ac:dyDescent="0.2"/>
  <cols>
    <col min="2" max="2" width="41" customWidth="1"/>
    <col min="3" max="3" width="13.1640625" customWidth="1"/>
    <col min="4" max="4" width="11.1640625" bestFit="1" customWidth="1"/>
    <col min="5" max="8" width="11.6640625" bestFit="1" customWidth="1"/>
    <col min="10" max="10" width="34" customWidth="1"/>
    <col min="11" max="11" width="22.1640625" customWidth="1"/>
  </cols>
  <sheetData>
    <row r="1" spans="1:13" x14ac:dyDescent="0.2">
      <c r="A1" s="4" t="s">
        <v>0</v>
      </c>
      <c r="C1" t="str">
        <f>'Input Tab'!C24</f>
        <v>Day</v>
      </c>
    </row>
    <row r="2" spans="1:13" x14ac:dyDescent="0.2">
      <c r="B2" s="26">
        <f>'Input Tab'!J1</f>
        <v>250</v>
      </c>
      <c r="C2" s="3" t="s">
        <v>103</v>
      </c>
      <c r="D2" t="s">
        <v>7</v>
      </c>
      <c r="K2" s="4"/>
    </row>
    <row r="3" spans="1:13" x14ac:dyDescent="0.2">
      <c r="A3" t="s">
        <v>1</v>
      </c>
      <c r="B3" s="4" t="s">
        <v>32</v>
      </c>
      <c r="D3">
        <v>1</v>
      </c>
      <c r="E3">
        <v>2</v>
      </c>
      <c r="F3">
        <v>3</v>
      </c>
      <c r="G3">
        <v>4</v>
      </c>
      <c r="H3">
        <v>5</v>
      </c>
      <c r="J3" t="s">
        <v>133</v>
      </c>
      <c r="K3" t="s">
        <v>144</v>
      </c>
    </row>
    <row r="4" spans="1:13" x14ac:dyDescent="0.2">
      <c r="B4" t="s">
        <v>2</v>
      </c>
      <c r="D4" s="1">
        <f>(IF('Input Tab'!C24="Day",'Input Tab'!C21*'Input Tab'!C22*10,'Input Tab'!C18*'Input Tab'!C19*10+'Input Tab'!C20*10))/2</f>
        <v>300000</v>
      </c>
      <c r="E4" s="1">
        <f>(IF('Input Tab'!C24="Day",'Input Tab'!C21*'Input Tab'!C22*10,'Input Tab'!C18*'Input Tab'!C19*10+'Input Tab'!C20*10))/2*(1+K4)</f>
        <v>360000</v>
      </c>
      <c r="F4" s="1">
        <f>(IF('Input Tab'!C24="Day",'Input Tab'!C21*'Input Tab'!C22*10,'Input Tab'!C18*'Input Tab'!C19*10+'Input Tab'!C20*10))/1.5</f>
        <v>400000</v>
      </c>
      <c r="G4" s="1">
        <f>(IF('Input Tab'!C24="Day",'Input Tab'!C21*'Input Tab'!C22*10,'Input Tab'!C18*'Input Tab'!C19*10+'Input Tab'!C20*10))/1.5*(1+K4)</f>
        <v>480000</v>
      </c>
      <c r="H4" s="1">
        <f>(IF('Input Tab'!C24="Day",'Input Tab'!C21*'Input Tab'!C22*10,'Input Tab'!C18*'Input Tab'!C19*10+'Input Tab'!C20*10))</f>
        <v>600000</v>
      </c>
      <c r="J4" s="1">
        <f>'Input Tab'!C21*'Input Tab'!C22</f>
        <v>60000</v>
      </c>
      <c r="K4" s="3">
        <v>0.2</v>
      </c>
    </row>
    <row r="5" spans="1:13" x14ac:dyDescent="0.2">
      <c r="A5" t="s">
        <v>13</v>
      </c>
      <c r="D5" s="1">
        <f t="shared" ref="D5:G5" si="0">SUM(D4:D4)</f>
        <v>300000</v>
      </c>
      <c r="E5" s="1">
        <f t="shared" si="0"/>
        <v>360000</v>
      </c>
      <c r="F5" s="1">
        <f t="shared" si="0"/>
        <v>400000</v>
      </c>
      <c r="G5" s="1">
        <f t="shared" si="0"/>
        <v>480000</v>
      </c>
      <c r="H5" s="1">
        <f>SUM(H4:H4)</f>
        <v>600000</v>
      </c>
      <c r="J5" s="1"/>
      <c r="K5" s="3"/>
    </row>
    <row r="6" spans="1:13" x14ac:dyDescent="0.2">
      <c r="J6" s="26">
        <v>250</v>
      </c>
      <c r="K6" s="3" t="s">
        <v>103</v>
      </c>
    </row>
    <row r="7" spans="1:13" ht="16" thickBot="1" x14ac:dyDescent="0.25">
      <c r="A7" t="s">
        <v>3</v>
      </c>
      <c r="J7" s="4" t="s">
        <v>11</v>
      </c>
      <c r="K7" s="12" t="s">
        <v>47</v>
      </c>
    </row>
    <row r="8" spans="1:13" x14ac:dyDescent="0.2">
      <c r="B8" t="str">
        <f>'Input Tab'!G3</f>
        <v>Livestock Feed</v>
      </c>
      <c r="D8" s="1">
        <f>J8*12</f>
        <v>7500</v>
      </c>
      <c r="E8" s="1">
        <f t="shared" ref="E8:H14" si="1">D8*(1+$K8)</f>
        <v>7725</v>
      </c>
      <c r="F8" s="1">
        <f t="shared" si="1"/>
        <v>7956.75</v>
      </c>
      <c r="G8" s="1">
        <f t="shared" si="1"/>
        <v>8195.4524999999994</v>
      </c>
      <c r="H8" s="1">
        <f t="shared" si="1"/>
        <v>8441.3160749999988</v>
      </c>
      <c r="J8" s="9">
        <f>'Input Tab'!H3</f>
        <v>625</v>
      </c>
      <c r="K8" s="3">
        <v>0.03</v>
      </c>
      <c r="M8" s="2"/>
    </row>
    <row r="9" spans="1:13" x14ac:dyDescent="0.2">
      <c r="B9" t="str">
        <f>'Input Tab'!G4</f>
        <v>Replacement Livestock</v>
      </c>
      <c r="D9" s="1">
        <f t="shared" ref="D9:D24" si="2">J9*12</f>
        <v>10000</v>
      </c>
      <c r="E9" s="1">
        <f t="shared" si="1"/>
        <v>10300</v>
      </c>
      <c r="F9" s="1">
        <f t="shared" si="1"/>
        <v>10609</v>
      </c>
      <c r="G9" s="1">
        <f t="shared" si="1"/>
        <v>10927.27</v>
      </c>
      <c r="H9" s="1">
        <f t="shared" si="1"/>
        <v>11255.088100000001</v>
      </c>
      <c r="J9" s="10">
        <f>'Input Tab'!H4</f>
        <v>833.33333333333337</v>
      </c>
      <c r="K9" s="3">
        <v>0.03</v>
      </c>
    </row>
    <row r="10" spans="1:13" x14ac:dyDescent="0.2">
      <c r="B10" t="str">
        <f>'Input Tab'!G5</f>
        <v>Water for Animals</v>
      </c>
      <c r="D10" s="1">
        <f t="shared" si="2"/>
        <v>5000</v>
      </c>
      <c r="E10" s="1">
        <f t="shared" si="1"/>
        <v>5150</v>
      </c>
      <c r="F10" s="1">
        <f t="shared" si="1"/>
        <v>5304.5</v>
      </c>
      <c r="G10" s="1">
        <f t="shared" si="1"/>
        <v>5463.6350000000002</v>
      </c>
      <c r="H10" s="1">
        <f t="shared" si="1"/>
        <v>5627.5440500000004</v>
      </c>
      <c r="J10" s="10">
        <f>'Input Tab'!H5</f>
        <v>416.66666666666669</v>
      </c>
      <c r="K10" s="3">
        <v>0.03</v>
      </c>
    </row>
    <row r="11" spans="1:13" x14ac:dyDescent="0.2">
      <c r="B11" t="str">
        <f>'Input Tab'!G6</f>
        <v>Fuel/Hauling Expenses that are not labor</v>
      </c>
      <c r="D11" s="1">
        <f t="shared" si="2"/>
        <v>7500</v>
      </c>
      <c r="E11" s="1">
        <f t="shared" si="1"/>
        <v>7725</v>
      </c>
      <c r="F11" s="1">
        <f t="shared" si="1"/>
        <v>7956.75</v>
      </c>
      <c r="G11" s="1">
        <f t="shared" si="1"/>
        <v>8195.4524999999994</v>
      </c>
      <c r="H11" s="1">
        <f t="shared" si="1"/>
        <v>8441.3160749999988</v>
      </c>
      <c r="J11" s="10">
        <f>'Input Tab'!H6</f>
        <v>625</v>
      </c>
      <c r="K11" s="3">
        <v>0.03</v>
      </c>
    </row>
    <row r="12" spans="1:13" x14ac:dyDescent="0.2">
      <c r="B12" t="str">
        <f>'Input Tab'!G7</f>
        <v>Permits</v>
      </c>
      <c r="D12" s="1">
        <f t="shared" si="2"/>
        <v>2500</v>
      </c>
      <c r="E12" s="1">
        <f t="shared" si="1"/>
        <v>2575</v>
      </c>
      <c r="F12" s="1">
        <f t="shared" si="1"/>
        <v>2652.25</v>
      </c>
      <c r="G12" s="1">
        <f t="shared" si="1"/>
        <v>2731.8175000000001</v>
      </c>
      <c r="H12" s="1">
        <f t="shared" si="1"/>
        <v>2813.7720250000002</v>
      </c>
      <c r="J12" s="10">
        <f>'Input Tab'!H7</f>
        <v>208.33333333333334</v>
      </c>
      <c r="K12" s="3">
        <v>0.03</v>
      </c>
    </row>
    <row r="13" spans="1:13" x14ac:dyDescent="0.2">
      <c r="B13" t="str">
        <f>'Input Tab'!G8</f>
        <v>Wages for Labor (Not for the Owner)</v>
      </c>
      <c r="D13" s="1">
        <f t="shared" si="2"/>
        <v>86400</v>
      </c>
      <c r="E13" s="1">
        <f t="shared" si="1"/>
        <v>88992</v>
      </c>
      <c r="F13" s="1">
        <f t="shared" si="1"/>
        <v>91661.760000000009</v>
      </c>
      <c r="G13" s="1">
        <f t="shared" si="1"/>
        <v>94411.612800000017</v>
      </c>
      <c r="H13" s="1">
        <f t="shared" si="1"/>
        <v>97243.961184000014</v>
      </c>
      <c r="J13" s="10">
        <f>'Input Tab'!H8</f>
        <v>7200</v>
      </c>
      <c r="K13" s="3">
        <v>0.03</v>
      </c>
    </row>
    <row r="14" spans="1:13" x14ac:dyDescent="0.2">
      <c r="B14" t="str">
        <f>'Input Tab'!G9</f>
        <v>Wages/Salary Owner could make otherwise</v>
      </c>
      <c r="D14" s="1">
        <f t="shared" si="2"/>
        <v>100000</v>
      </c>
      <c r="E14" s="1">
        <f t="shared" si="1"/>
        <v>103000</v>
      </c>
      <c r="F14" s="1">
        <f t="shared" si="1"/>
        <v>106090</v>
      </c>
      <c r="G14" s="1">
        <f t="shared" si="1"/>
        <v>109272.7</v>
      </c>
      <c r="H14" s="1">
        <f t="shared" si="1"/>
        <v>112550.88099999999</v>
      </c>
      <c r="J14" s="10">
        <f>'Input Tab'!H9</f>
        <v>8333.3333333333339</v>
      </c>
      <c r="K14" s="3">
        <v>0.03</v>
      </c>
    </row>
    <row r="15" spans="1:13" x14ac:dyDescent="0.2">
      <c r="B15" t="str">
        <f>'Input Tab'!G10</f>
        <v>Lost Livestock (Disposal Cost)</v>
      </c>
      <c r="D15" s="1">
        <f t="shared" si="2"/>
        <v>1000</v>
      </c>
      <c r="E15" s="1">
        <f>D15*1.25</f>
        <v>1250</v>
      </c>
      <c r="F15" s="1">
        <f>E15*1.25</f>
        <v>1562.5</v>
      </c>
      <c r="G15" s="1">
        <f>F15*1.25</f>
        <v>1953.125</v>
      </c>
      <c r="H15" s="1">
        <f>G15*1.25</f>
        <v>2441.40625</v>
      </c>
      <c r="J15" s="10">
        <f>'Input Tab'!H10</f>
        <v>83.333333333333329</v>
      </c>
      <c r="K15" s="3">
        <v>0.03</v>
      </c>
    </row>
    <row r="16" spans="1:13" x14ac:dyDescent="0.2">
      <c r="B16" t="str">
        <f>'Input Tab'!G11</f>
        <v>General Liability Insurance</v>
      </c>
      <c r="D16" s="1">
        <f t="shared" si="2"/>
        <v>2500</v>
      </c>
      <c r="E16" s="1">
        <f t="shared" ref="E16:H24" si="3">D16*(1+$K16)</f>
        <v>2575</v>
      </c>
      <c r="F16" s="1">
        <f t="shared" si="3"/>
        <v>2652.25</v>
      </c>
      <c r="G16" s="1">
        <f t="shared" si="3"/>
        <v>2731.8175000000001</v>
      </c>
      <c r="H16" s="1">
        <f t="shared" si="3"/>
        <v>2813.7720250000002</v>
      </c>
      <c r="J16" s="10">
        <f>'Input Tab'!H11</f>
        <v>208.33333333333334</v>
      </c>
      <c r="K16" s="3">
        <v>0.03</v>
      </c>
    </row>
    <row r="17" spans="1:11" x14ac:dyDescent="0.2">
      <c r="B17" t="str">
        <f>'Input Tab'!G12</f>
        <v>Maintenance</v>
      </c>
      <c r="D17" s="1">
        <f t="shared" si="2"/>
        <v>2500</v>
      </c>
      <c r="E17" s="1">
        <f t="shared" si="3"/>
        <v>2575</v>
      </c>
      <c r="F17" s="1">
        <f t="shared" si="3"/>
        <v>2652.25</v>
      </c>
      <c r="G17" s="1">
        <f t="shared" si="3"/>
        <v>2731.8175000000001</v>
      </c>
      <c r="H17" s="1">
        <f t="shared" si="3"/>
        <v>2813.7720250000002</v>
      </c>
      <c r="J17" s="10">
        <f>'Input Tab'!H12</f>
        <v>208.33333333333334</v>
      </c>
      <c r="K17" s="3">
        <v>0.03</v>
      </c>
    </row>
    <row r="18" spans="1:11" x14ac:dyDescent="0.2">
      <c r="B18" t="str">
        <f>'Input Tab'!G13</f>
        <v>Predator Protection</v>
      </c>
      <c r="D18" s="1">
        <f t="shared" si="2"/>
        <v>7500</v>
      </c>
      <c r="E18" s="1">
        <f t="shared" si="3"/>
        <v>7725</v>
      </c>
      <c r="F18" s="1">
        <f t="shared" si="3"/>
        <v>7956.75</v>
      </c>
      <c r="G18" s="1">
        <f t="shared" si="3"/>
        <v>8195.4524999999994</v>
      </c>
      <c r="H18" s="1">
        <f t="shared" si="3"/>
        <v>8441.3160749999988</v>
      </c>
      <c r="J18" s="10">
        <f>'Input Tab'!H13</f>
        <v>625</v>
      </c>
      <c r="K18" s="3">
        <v>0.03</v>
      </c>
    </row>
    <row r="19" spans="1:11" x14ac:dyDescent="0.2">
      <c r="B19" t="str">
        <f>'Input Tab'!G14</f>
        <v>Other feed/supplements</v>
      </c>
      <c r="D19" s="1">
        <f t="shared" si="2"/>
        <v>2500</v>
      </c>
      <c r="E19" s="1">
        <f t="shared" si="3"/>
        <v>2575</v>
      </c>
      <c r="F19" s="1">
        <f t="shared" si="3"/>
        <v>2652.25</v>
      </c>
      <c r="G19" s="1">
        <f t="shared" si="3"/>
        <v>2731.8175000000001</v>
      </c>
      <c r="H19" s="1">
        <f t="shared" si="3"/>
        <v>2813.7720250000002</v>
      </c>
      <c r="J19" s="10">
        <f>'Input Tab'!H14</f>
        <v>208.33333333333334</v>
      </c>
      <c r="K19" s="3">
        <v>0.03</v>
      </c>
    </row>
    <row r="20" spans="1:11" x14ac:dyDescent="0.2">
      <c r="B20" t="str">
        <f>'Input Tab'!G15</f>
        <v>Animal Health/Vet</v>
      </c>
      <c r="D20" s="1">
        <f t="shared" si="2"/>
        <v>2500</v>
      </c>
      <c r="E20" s="1">
        <f t="shared" si="3"/>
        <v>2575</v>
      </c>
      <c r="F20" s="1">
        <f t="shared" si="3"/>
        <v>2652.25</v>
      </c>
      <c r="G20" s="1">
        <f t="shared" si="3"/>
        <v>2731.8175000000001</v>
      </c>
      <c r="H20" s="1">
        <f t="shared" si="3"/>
        <v>2813.7720250000002</v>
      </c>
      <c r="J20" s="10">
        <f>'Input Tab'!H15</f>
        <v>208.33333333333334</v>
      </c>
      <c r="K20" s="3">
        <v>0.03</v>
      </c>
    </row>
    <row r="21" spans="1:11" x14ac:dyDescent="0.2">
      <c r="B21" t="str">
        <f>'Input Tab'!G16</f>
        <v>Advertising</v>
      </c>
      <c r="D21" s="1">
        <f t="shared" si="2"/>
        <v>2500</v>
      </c>
      <c r="E21" s="1">
        <f t="shared" si="3"/>
        <v>2575</v>
      </c>
      <c r="F21" s="1">
        <f t="shared" si="3"/>
        <v>2652.25</v>
      </c>
      <c r="G21" s="1">
        <f t="shared" si="3"/>
        <v>2731.8175000000001</v>
      </c>
      <c r="H21" s="1">
        <f t="shared" si="3"/>
        <v>2813.7720250000002</v>
      </c>
      <c r="J21" s="10">
        <f>'Input Tab'!H16</f>
        <v>208.33333333333334</v>
      </c>
      <c r="K21" s="3">
        <v>0.03</v>
      </c>
    </row>
    <row r="22" spans="1:11" x14ac:dyDescent="0.2">
      <c r="B22" t="str">
        <f>'Input Tab'!G17</f>
        <v>Worker's Comp</v>
      </c>
      <c r="D22" s="1">
        <f t="shared" si="2"/>
        <v>2500</v>
      </c>
      <c r="E22" s="1">
        <f t="shared" si="3"/>
        <v>2575</v>
      </c>
      <c r="F22" s="1">
        <f t="shared" si="3"/>
        <v>2652.25</v>
      </c>
      <c r="G22" s="1">
        <f t="shared" si="3"/>
        <v>2731.8175000000001</v>
      </c>
      <c r="H22" s="1">
        <f t="shared" si="3"/>
        <v>2813.7720250000002</v>
      </c>
      <c r="J22" s="10">
        <f>'Input Tab'!H17</f>
        <v>208.33333333333334</v>
      </c>
      <c r="K22" s="3">
        <v>0.03</v>
      </c>
    </row>
    <row r="23" spans="1:11" x14ac:dyDescent="0.2">
      <c r="B23" t="str">
        <f>'Input Tab'!G18</f>
        <v>Rental for land</v>
      </c>
      <c r="D23" s="1">
        <f t="shared" si="2"/>
        <v>5000</v>
      </c>
      <c r="E23" s="1">
        <f t="shared" si="3"/>
        <v>5150</v>
      </c>
      <c r="F23" s="1">
        <f t="shared" si="3"/>
        <v>5304.5</v>
      </c>
      <c r="G23" s="1">
        <f t="shared" si="3"/>
        <v>5463.6350000000002</v>
      </c>
      <c r="H23" s="1">
        <f t="shared" si="3"/>
        <v>5627.5440500000004</v>
      </c>
      <c r="J23" s="10">
        <f>'Input Tab'!H18</f>
        <v>416.66666666666669</v>
      </c>
      <c r="K23" s="3">
        <v>0.03</v>
      </c>
    </row>
    <row r="24" spans="1:11" ht="16" thickBot="1" x14ac:dyDescent="0.25">
      <c r="B24" t="str">
        <f>'Input Tab'!G19</f>
        <v>Other Expenses</v>
      </c>
      <c r="D24" s="1">
        <f t="shared" si="2"/>
        <v>1250</v>
      </c>
      <c r="E24" s="1">
        <f t="shared" si="3"/>
        <v>1287.5</v>
      </c>
      <c r="F24" s="1">
        <f t="shared" si="3"/>
        <v>1326.125</v>
      </c>
      <c r="G24" s="1">
        <f t="shared" si="3"/>
        <v>1365.9087500000001</v>
      </c>
      <c r="H24" s="1">
        <f t="shared" si="3"/>
        <v>1406.8860125000001</v>
      </c>
      <c r="J24" s="11">
        <f>'Input Tab'!H19</f>
        <v>104.16666666666667</v>
      </c>
      <c r="K24" s="3">
        <v>0.03</v>
      </c>
    </row>
    <row r="25" spans="1:11" x14ac:dyDescent="0.2">
      <c r="B25" t="s">
        <v>104</v>
      </c>
      <c r="D25" s="1">
        <f>C34/5</f>
        <v>25100</v>
      </c>
      <c r="E25" s="1">
        <f t="shared" ref="E25:H25" si="4">D25</f>
        <v>25100</v>
      </c>
      <c r="F25" s="1">
        <f t="shared" si="4"/>
        <v>25100</v>
      </c>
      <c r="G25" s="1">
        <f t="shared" si="4"/>
        <v>25100</v>
      </c>
      <c r="H25" s="1">
        <f t="shared" si="4"/>
        <v>25100</v>
      </c>
      <c r="J25" s="27"/>
      <c r="K25" s="3"/>
    </row>
    <row r="26" spans="1:11" x14ac:dyDescent="0.2">
      <c r="A26" t="s">
        <v>14</v>
      </c>
      <c r="D26" s="1">
        <f t="shared" ref="D26:H26" si="5">SUM(D8:D25)</f>
        <v>273750</v>
      </c>
      <c r="E26" s="1">
        <f t="shared" si="5"/>
        <v>281429.5</v>
      </c>
      <c r="F26" s="1">
        <f t="shared" si="5"/>
        <v>289394.38500000001</v>
      </c>
      <c r="G26" s="1">
        <f t="shared" si="5"/>
        <v>297666.96655000007</v>
      </c>
      <c r="H26" s="1">
        <f t="shared" si="5"/>
        <v>306273.66304650006</v>
      </c>
    </row>
    <row r="28" spans="1:11" x14ac:dyDescent="0.2">
      <c r="A28" t="s">
        <v>15</v>
      </c>
      <c r="D28" s="1">
        <f t="shared" ref="D28:H28" si="6">D5-D26</f>
        <v>26250</v>
      </c>
      <c r="E28" s="1">
        <f t="shared" si="6"/>
        <v>78570.5</v>
      </c>
      <c r="F28" s="1">
        <f t="shared" si="6"/>
        <v>110605.61499999999</v>
      </c>
      <c r="G28" s="1">
        <f t="shared" si="6"/>
        <v>182333.03344999993</v>
      </c>
      <c r="H28" s="1">
        <f t="shared" si="6"/>
        <v>293726.33695349994</v>
      </c>
    </row>
    <row r="29" spans="1:11" x14ac:dyDescent="0.2">
      <c r="B29" t="s">
        <v>105</v>
      </c>
      <c r="D29" s="2">
        <f>D28</f>
        <v>26250</v>
      </c>
      <c r="E29" s="2">
        <f>E28/((1+'Input Tab'!$B29)^(E$3-1))</f>
        <v>74829.047619047618</v>
      </c>
      <c r="F29" s="2">
        <f>F28/((1+'Input Tab'!$B29)^(F$3-1))</f>
        <v>100322.55328798185</v>
      </c>
      <c r="G29" s="2">
        <f>G28/((1+'Input Tab'!$B29)^(G$3-1))</f>
        <v>157506.12974840723</v>
      </c>
      <c r="H29" s="2">
        <f>H28/((1+'Input Tab'!$B29)^(H$3-1))</f>
        <v>241649.38432319861</v>
      </c>
    </row>
    <row r="30" spans="1:11" x14ac:dyDescent="0.2">
      <c r="B30" t="s">
        <v>106</v>
      </c>
      <c r="D30" s="2">
        <f>D29</f>
        <v>26250</v>
      </c>
      <c r="E30" s="2">
        <f t="shared" ref="E30:H30" si="7">E29+D30</f>
        <v>101079.04761904762</v>
      </c>
      <c r="F30" s="2">
        <f t="shared" si="7"/>
        <v>201401.60090702947</v>
      </c>
      <c r="G30" s="2">
        <f t="shared" si="7"/>
        <v>358907.7306554367</v>
      </c>
      <c r="H30" s="2">
        <f t="shared" si="7"/>
        <v>600557.11497863533</v>
      </c>
    </row>
    <row r="31" spans="1:11" x14ac:dyDescent="0.2">
      <c r="B31" t="s">
        <v>107</v>
      </c>
      <c r="D31" s="2">
        <f>C34</f>
        <v>125500</v>
      </c>
      <c r="E31" s="2">
        <f t="shared" ref="E31:H31" si="8">D31</f>
        <v>125500</v>
      </c>
      <c r="F31" s="2">
        <f t="shared" si="8"/>
        <v>125500</v>
      </c>
      <c r="G31" s="2">
        <f t="shared" si="8"/>
        <v>125500</v>
      </c>
      <c r="H31" s="2">
        <f t="shared" si="8"/>
        <v>125500</v>
      </c>
    </row>
    <row r="32" spans="1:11" x14ac:dyDescent="0.2">
      <c r="A32" s="4" t="s">
        <v>16</v>
      </c>
      <c r="B32" s="6" t="s">
        <v>30</v>
      </c>
      <c r="C32" s="5">
        <f>SUM(D29:H29)</f>
        <v>600557.11497863533</v>
      </c>
      <c r="D32" s="2"/>
      <c r="E32" s="2"/>
      <c r="F32" s="2"/>
      <c r="G32" s="2"/>
      <c r="H32" s="2"/>
    </row>
    <row r="34" spans="2:3" x14ac:dyDescent="0.2">
      <c r="B34" s="4" t="s">
        <v>17</v>
      </c>
      <c r="C34" s="5">
        <f>'Input Tab'!C15</f>
        <v>125500</v>
      </c>
    </row>
    <row r="36" spans="2:3" x14ac:dyDescent="0.2">
      <c r="B36" s="4" t="s">
        <v>48</v>
      </c>
      <c r="C36" s="5">
        <f>C32-C34</f>
        <v>475057.11497863533</v>
      </c>
    </row>
    <row r="37" spans="2:3" x14ac:dyDescent="0.2">
      <c r="B37" s="4"/>
      <c r="C37" s="4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97C40-C089-40A3-BCCB-34580ED93E66}">
  <dimension ref="A2"/>
  <sheetViews>
    <sheetView workbookViewId="0">
      <selection activeCell="J29" sqref="J29"/>
    </sheetView>
  </sheetViews>
  <sheetFormatPr baseColWidth="10" defaultColWidth="8.83203125" defaultRowHeight="15" x14ac:dyDescent="0.2"/>
  <sheetData>
    <row r="2" spans="1:1" x14ac:dyDescent="0.2">
      <c r="A2" t="s">
        <v>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94163-8497-4968-8E10-E4B6F0EBCE13}">
  <dimension ref="A1:C20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76.6640625" bestFit="1" customWidth="1"/>
    <col min="2" max="3" width="11.83203125" bestFit="1" customWidth="1"/>
  </cols>
  <sheetData>
    <row r="1" spans="1:3" x14ac:dyDescent="0.2">
      <c r="A1" s="4" t="s">
        <v>49</v>
      </c>
    </row>
    <row r="3" spans="1:3" x14ac:dyDescent="0.2">
      <c r="A3" t="s">
        <v>26</v>
      </c>
    </row>
    <row r="4" spans="1:3" x14ac:dyDescent="0.2">
      <c r="A4" t="s">
        <v>27</v>
      </c>
    </row>
    <row r="5" spans="1:3" x14ac:dyDescent="0.2">
      <c r="A5" t="s">
        <v>28</v>
      </c>
    </row>
    <row r="7" spans="1:3" x14ac:dyDescent="0.2">
      <c r="A7" t="s">
        <v>29</v>
      </c>
    </row>
    <row r="8" spans="1:3" x14ac:dyDescent="0.2">
      <c r="C8" t="s">
        <v>36</v>
      </c>
    </row>
    <row r="9" spans="1:3" x14ac:dyDescent="0.2">
      <c r="A9" t="s">
        <v>33</v>
      </c>
      <c r="C9">
        <v>1.1499999999999999</v>
      </c>
    </row>
    <row r="10" spans="1:3" x14ac:dyDescent="0.2">
      <c r="A10" t="s">
        <v>35</v>
      </c>
      <c r="B10">
        <v>2018</v>
      </c>
      <c r="C10">
        <v>2023</v>
      </c>
    </row>
    <row r="11" spans="1:3" x14ac:dyDescent="0.2">
      <c r="A11" t="s">
        <v>37</v>
      </c>
      <c r="B11" t="s">
        <v>34</v>
      </c>
      <c r="C11" t="s">
        <v>34</v>
      </c>
    </row>
    <row r="12" spans="1:3" x14ac:dyDescent="0.2">
      <c r="A12" t="s">
        <v>38</v>
      </c>
      <c r="B12" s="1">
        <v>1700</v>
      </c>
      <c r="C12" s="2">
        <f>B12*C$9</f>
        <v>1954.9999999999998</v>
      </c>
    </row>
    <row r="13" spans="1:3" x14ac:dyDescent="0.2">
      <c r="A13" t="s">
        <v>39</v>
      </c>
      <c r="B13" s="1">
        <v>360</v>
      </c>
      <c r="C13" s="2">
        <f t="shared" ref="C13:C20" si="0">B13*C$9</f>
        <v>413.99999999999994</v>
      </c>
    </row>
    <row r="14" spans="1:3" x14ac:dyDescent="0.2">
      <c r="A14" t="s">
        <v>40</v>
      </c>
      <c r="B14" s="1">
        <v>360</v>
      </c>
      <c r="C14" s="2">
        <f t="shared" si="0"/>
        <v>413.99999999999994</v>
      </c>
    </row>
    <row r="15" spans="1:3" x14ac:dyDescent="0.2">
      <c r="A15" t="s">
        <v>41</v>
      </c>
      <c r="B15" s="1">
        <v>2000</v>
      </c>
      <c r="C15" s="2">
        <f t="shared" si="0"/>
        <v>2300</v>
      </c>
    </row>
    <row r="16" spans="1:3" x14ac:dyDescent="0.2">
      <c r="A16" t="s">
        <v>42</v>
      </c>
      <c r="B16" s="1">
        <v>12300</v>
      </c>
      <c r="C16" s="2">
        <f t="shared" si="0"/>
        <v>14144.999999999998</v>
      </c>
    </row>
    <row r="17" spans="1:3" x14ac:dyDescent="0.2">
      <c r="A17" t="s">
        <v>43</v>
      </c>
      <c r="B17" s="1">
        <v>480</v>
      </c>
      <c r="C17" s="2">
        <f t="shared" si="0"/>
        <v>552</v>
      </c>
    </row>
    <row r="18" spans="1:3" x14ac:dyDescent="0.2">
      <c r="A18" t="s">
        <v>44</v>
      </c>
      <c r="B18" s="1">
        <v>6000</v>
      </c>
      <c r="C18" s="2">
        <f t="shared" si="0"/>
        <v>6899.9999999999991</v>
      </c>
    </row>
    <row r="19" spans="1:3" x14ac:dyDescent="0.2">
      <c r="A19" t="s">
        <v>45</v>
      </c>
      <c r="B19" s="1">
        <v>1200</v>
      </c>
      <c r="C19" s="2">
        <f t="shared" si="0"/>
        <v>1380</v>
      </c>
    </row>
    <row r="20" spans="1:3" x14ac:dyDescent="0.2">
      <c r="A20" t="s">
        <v>46</v>
      </c>
      <c r="B20" s="1">
        <v>360</v>
      </c>
      <c r="C20" s="2">
        <f t="shared" si="0"/>
        <v>413.99999999999994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EE18B-3C33-4FFD-9F56-FDB87DFA4998}">
  <dimension ref="A1:W50"/>
  <sheetViews>
    <sheetView topLeftCell="A21" workbookViewId="0">
      <selection activeCell="X36" sqref="X36"/>
    </sheetView>
  </sheetViews>
  <sheetFormatPr baseColWidth="10" defaultColWidth="8.83203125" defaultRowHeight="15" x14ac:dyDescent="0.2"/>
  <sheetData>
    <row r="1" spans="1:9" ht="16" x14ac:dyDescent="0.2">
      <c r="A1" s="19" t="s">
        <v>55</v>
      </c>
    </row>
    <row r="2" spans="1:9" ht="16" x14ac:dyDescent="0.2">
      <c r="A2" s="20" t="s">
        <v>56</v>
      </c>
    </row>
    <row r="3" spans="1:9" ht="16" x14ac:dyDescent="0.2">
      <c r="A3" s="20" t="s">
        <v>57</v>
      </c>
    </row>
    <row r="4" spans="1:9" x14ac:dyDescent="0.2">
      <c r="A4" s="21" t="s">
        <v>102</v>
      </c>
      <c r="I4" t="s">
        <v>101</v>
      </c>
    </row>
    <row r="5" spans="1:9" x14ac:dyDescent="0.2">
      <c r="A5" s="21" t="s">
        <v>58</v>
      </c>
      <c r="I5" t="s">
        <v>101</v>
      </c>
    </row>
    <row r="6" spans="1:9" x14ac:dyDescent="0.2">
      <c r="A6" s="21" t="s">
        <v>59</v>
      </c>
      <c r="I6" t="s">
        <v>101</v>
      </c>
    </row>
    <row r="7" spans="1:9" x14ac:dyDescent="0.2">
      <c r="A7" s="21" t="s">
        <v>60</v>
      </c>
      <c r="I7" t="s">
        <v>101</v>
      </c>
    </row>
    <row r="8" spans="1:9" x14ac:dyDescent="0.2">
      <c r="A8" s="21" t="s">
        <v>61</v>
      </c>
      <c r="I8" t="s">
        <v>101</v>
      </c>
    </row>
    <row r="9" spans="1:9" x14ac:dyDescent="0.2">
      <c r="A9" s="21" t="s">
        <v>62</v>
      </c>
      <c r="I9" t="s">
        <v>101</v>
      </c>
    </row>
    <row r="10" spans="1:9" x14ac:dyDescent="0.2">
      <c r="A10" s="21" t="s">
        <v>63</v>
      </c>
      <c r="I10" t="s">
        <v>101</v>
      </c>
    </row>
    <row r="11" spans="1:9" x14ac:dyDescent="0.2">
      <c r="A11" s="21" t="s">
        <v>64</v>
      </c>
      <c r="I11" t="s">
        <v>101</v>
      </c>
    </row>
    <row r="12" spans="1:9" x14ac:dyDescent="0.2">
      <c r="A12" s="21" t="s">
        <v>65</v>
      </c>
      <c r="I12" t="s">
        <v>101</v>
      </c>
    </row>
    <row r="13" spans="1:9" x14ac:dyDescent="0.2">
      <c r="A13" s="21" t="s">
        <v>66</v>
      </c>
      <c r="I13" t="s">
        <v>101</v>
      </c>
    </row>
    <row r="14" spans="1:9" x14ac:dyDescent="0.2">
      <c r="A14" s="21" t="s">
        <v>67</v>
      </c>
      <c r="I14" t="s">
        <v>101</v>
      </c>
    </row>
    <row r="15" spans="1:9" x14ac:dyDescent="0.2">
      <c r="A15" s="21" t="s">
        <v>68</v>
      </c>
      <c r="I15" t="s">
        <v>101</v>
      </c>
    </row>
    <row r="16" spans="1:9" x14ac:dyDescent="0.2">
      <c r="A16" s="22" t="s">
        <v>69</v>
      </c>
      <c r="I16" t="s">
        <v>101</v>
      </c>
    </row>
    <row r="17" spans="1:23" x14ac:dyDescent="0.2">
      <c r="A17" s="22" t="s">
        <v>70</v>
      </c>
      <c r="I17" t="s">
        <v>101</v>
      </c>
    </row>
    <row r="18" spans="1:23" x14ac:dyDescent="0.2">
      <c r="A18" s="22" t="s">
        <v>71</v>
      </c>
      <c r="I18" t="s">
        <v>101</v>
      </c>
    </row>
    <row r="19" spans="1:23" x14ac:dyDescent="0.2">
      <c r="A19" s="22" t="s">
        <v>72</v>
      </c>
      <c r="I19" t="s">
        <v>101</v>
      </c>
    </row>
    <row r="20" spans="1:23" x14ac:dyDescent="0.2">
      <c r="A20" s="22" t="s">
        <v>73</v>
      </c>
      <c r="I20" t="s">
        <v>101</v>
      </c>
    </row>
    <row r="21" spans="1:23" x14ac:dyDescent="0.2">
      <c r="A21" s="21" t="s">
        <v>74</v>
      </c>
    </row>
    <row r="22" spans="1:23" x14ac:dyDescent="0.2">
      <c r="A22" s="22" t="s">
        <v>75</v>
      </c>
      <c r="I22" t="s">
        <v>101</v>
      </c>
    </row>
    <row r="23" spans="1:23" x14ac:dyDescent="0.2">
      <c r="A23" s="22" t="s">
        <v>76</v>
      </c>
      <c r="I23" t="s">
        <v>101</v>
      </c>
    </row>
    <row r="24" spans="1:23" ht="16" thickBot="1" x14ac:dyDescent="0.25">
      <c r="A24" s="21" t="s">
        <v>77</v>
      </c>
    </row>
    <row r="25" spans="1:23" ht="16" thickBot="1" x14ac:dyDescent="0.25">
      <c r="A25" s="22" t="s">
        <v>78</v>
      </c>
      <c r="I25" t="s">
        <v>101</v>
      </c>
      <c r="Q25" s="29">
        <v>10</v>
      </c>
      <c r="R25" s="30">
        <v>15000</v>
      </c>
      <c r="S25" s="28">
        <f>R25/250</f>
        <v>60</v>
      </c>
      <c r="U25" s="29">
        <v>100</v>
      </c>
      <c r="V25" s="28">
        <f>U25*12</f>
        <v>1200</v>
      </c>
      <c r="W25" s="35">
        <f>V25/250</f>
        <v>4.8</v>
      </c>
    </row>
    <row r="26" spans="1:23" ht="16" thickBot="1" x14ac:dyDescent="0.25">
      <c r="A26" s="22" t="s">
        <v>79</v>
      </c>
      <c r="I26" t="s">
        <v>101</v>
      </c>
      <c r="Q26" s="32">
        <v>5</v>
      </c>
      <c r="R26" s="34">
        <f>Q26*250*12</f>
        <v>15000</v>
      </c>
      <c r="S26" s="28">
        <f t="shared" ref="S26:S40" si="0">R26/250</f>
        <v>60</v>
      </c>
      <c r="U26" s="31">
        <v>75</v>
      </c>
      <c r="V26" s="28">
        <f t="shared" ref="V26:V32" si="1">U26*12</f>
        <v>900</v>
      </c>
      <c r="W26" s="35">
        <f t="shared" ref="W26:W32" si="2">V26/250</f>
        <v>3.6</v>
      </c>
    </row>
    <row r="27" spans="1:23" ht="16" thickBot="1" x14ac:dyDescent="0.25">
      <c r="A27" s="22" t="s">
        <v>80</v>
      </c>
      <c r="I27" t="s">
        <v>101</v>
      </c>
      <c r="Q27" s="32">
        <v>5</v>
      </c>
      <c r="R27" s="34">
        <f t="shared" ref="R27:R40" si="3">Q27*250*12</f>
        <v>15000</v>
      </c>
      <c r="S27" s="28">
        <f t="shared" si="0"/>
        <v>60</v>
      </c>
      <c r="U27" s="31">
        <v>100</v>
      </c>
      <c r="V27" s="28">
        <f t="shared" si="1"/>
        <v>1200</v>
      </c>
      <c r="W27" s="35">
        <f t="shared" si="2"/>
        <v>4.8</v>
      </c>
    </row>
    <row r="28" spans="1:23" ht="16" thickBot="1" x14ac:dyDescent="0.25">
      <c r="A28" s="23" t="s">
        <v>81</v>
      </c>
      <c r="I28" t="s">
        <v>101</v>
      </c>
      <c r="Q28" s="33"/>
      <c r="R28" s="34">
        <f t="shared" si="3"/>
        <v>0</v>
      </c>
      <c r="S28" s="28">
        <f t="shared" si="0"/>
        <v>0</v>
      </c>
      <c r="U28" s="31">
        <v>250</v>
      </c>
      <c r="V28" s="28">
        <f t="shared" si="1"/>
        <v>3000</v>
      </c>
      <c r="W28" s="35">
        <f t="shared" si="2"/>
        <v>12</v>
      </c>
    </row>
    <row r="29" spans="1:23" ht="16" thickBot="1" x14ac:dyDescent="0.25">
      <c r="A29" s="21" t="s">
        <v>82</v>
      </c>
      <c r="Q29" s="31">
        <v>2</v>
      </c>
      <c r="R29" s="34">
        <f t="shared" si="3"/>
        <v>6000</v>
      </c>
      <c r="S29" s="28">
        <f t="shared" si="0"/>
        <v>24</v>
      </c>
      <c r="U29" s="31">
        <v>250</v>
      </c>
      <c r="V29" s="28">
        <f t="shared" si="1"/>
        <v>3000</v>
      </c>
      <c r="W29" s="35">
        <f t="shared" si="2"/>
        <v>12</v>
      </c>
    </row>
    <row r="30" spans="1:23" ht="16" thickBot="1" x14ac:dyDescent="0.25">
      <c r="A30" s="22" t="s">
        <v>83</v>
      </c>
      <c r="I30" t="s">
        <v>101</v>
      </c>
      <c r="Q30" s="31">
        <v>30</v>
      </c>
      <c r="R30" s="34">
        <f t="shared" si="3"/>
        <v>90000</v>
      </c>
      <c r="S30" s="28">
        <f t="shared" si="0"/>
        <v>360</v>
      </c>
      <c r="U30" s="31">
        <v>100</v>
      </c>
      <c r="V30" s="28">
        <f t="shared" si="1"/>
        <v>1200</v>
      </c>
      <c r="W30" s="35">
        <f t="shared" si="2"/>
        <v>4.8</v>
      </c>
    </row>
    <row r="31" spans="1:23" ht="16" thickBot="1" x14ac:dyDescent="0.25">
      <c r="A31" s="24" t="s">
        <v>84</v>
      </c>
      <c r="Q31" s="31">
        <v>75</v>
      </c>
      <c r="R31" s="34">
        <f t="shared" si="3"/>
        <v>225000</v>
      </c>
      <c r="S31" s="28">
        <f t="shared" si="0"/>
        <v>900</v>
      </c>
      <c r="U31" s="31">
        <v>200</v>
      </c>
      <c r="V31" s="28">
        <f t="shared" si="1"/>
        <v>2400</v>
      </c>
      <c r="W31" s="35">
        <f t="shared" si="2"/>
        <v>9.6</v>
      </c>
    </row>
    <row r="32" spans="1:23" ht="16" thickBot="1" x14ac:dyDescent="0.25">
      <c r="A32" s="22" t="s">
        <v>85</v>
      </c>
      <c r="I32" t="s">
        <v>101</v>
      </c>
      <c r="Q32" s="31">
        <v>20</v>
      </c>
      <c r="R32" s="34">
        <f t="shared" si="3"/>
        <v>60000</v>
      </c>
      <c r="S32" s="28">
        <f t="shared" si="0"/>
        <v>240</v>
      </c>
      <c r="U32" s="31">
        <v>100</v>
      </c>
      <c r="V32" s="28">
        <f t="shared" si="1"/>
        <v>1200</v>
      </c>
      <c r="W32" s="35">
        <f t="shared" si="2"/>
        <v>4.8</v>
      </c>
    </row>
    <row r="33" spans="1:19" ht="16" thickBot="1" x14ac:dyDescent="0.25">
      <c r="Q33" s="31">
        <v>75</v>
      </c>
      <c r="R33" s="34">
        <f t="shared" si="3"/>
        <v>225000</v>
      </c>
      <c r="S33" s="28">
        <f t="shared" si="0"/>
        <v>900</v>
      </c>
    </row>
    <row r="34" spans="1:19" ht="16" thickBot="1" x14ac:dyDescent="0.25">
      <c r="A34" s="18"/>
      <c r="Q34" s="31">
        <v>2</v>
      </c>
      <c r="R34" s="34">
        <f t="shared" si="3"/>
        <v>6000</v>
      </c>
      <c r="S34" s="28">
        <f t="shared" si="0"/>
        <v>24</v>
      </c>
    </row>
    <row r="35" spans="1:19" ht="16" thickBot="1" x14ac:dyDescent="0.25">
      <c r="A35" s="18" t="s">
        <v>1</v>
      </c>
      <c r="Q35" s="31">
        <v>10</v>
      </c>
      <c r="R35" s="34">
        <f t="shared" si="3"/>
        <v>30000</v>
      </c>
      <c r="S35" s="28">
        <f t="shared" si="0"/>
        <v>120</v>
      </c>
    </row>
    <row r="36" spans="1:19" ht="17" thickBot="1" x14ac:dyDescent="0.25">
      <c r="A36" s="20" t="s">
        <v>86</v>
      </c>
      <c r="I36" t="s">
        <v>101</v>
      </c>
      <c r="Q36" s="31">
        <v>4</v>
      </c>
      <c r="R36" s="34">
        <f t="shared" si="3"/>
        <v>12000</v>
      </c>
      <c r="S36" s="28">
        <f t="shared" si="0"/>
        <v>48</v>
      </c>
    </row>
    <row r="37" spans="1:19" ht="17" thickBot="1" x14ac:dyDescent="0.25">
      <c r="A37" s="25" t="s">
        <v>87</v>
      </c>
      <c r="I37" t="s">
        <v>101</v>
      </c>
      <c r="Q37" s="31">
        <v>2</v>
      </c>
      <c r="R37" s="34">
        <f t="shared" si="3"/>
        <v>6000</v>
      </c>
      <c r="S37" s="28">
        <f t="shared" si="0"/>
        <v>24</v>
      </c>
    </row>
    <row r="38" spans="1:19" ht="17" thickBot="1" x14ac:dyDescent="0.25">
      <c r="A38" s="25" t="s">
        <v>88</v>
      </c>
      <c r="I38" t="s">
        <v>101</v>
      </c>
      <c r="Q38" s="31">
        <v>2</v>
      </c>
      <c r="R38" s="34">
        <f t="shared" si="3"/>
        <v>6000</v>
      </c>
      <c r="S38" s="28">
        <f t="shared" si="0"/>
        <v>24</v>
      </c>
    </row>
    <row r="39" spans="1:19" ht="17" thickBot="1" x14ac:dyDescent="0.25">
      <c r="A39" s="20" t="s">
        <v>89</v>
      </c>
      <c r="Q39" s="31">
        <v>50</v>
      </c>
      <c r="R39" s="34">
        <f t="shared" si="3"/>
        <v>150000</v>
      </c>
      <c r="S39" s="28">
        <f t="shared" si="0"/>
        <v>600</v>
      </c>
    </row>
    <row r="40" spans="1:19" ht="16" thickBot="1" x14ac:dyDescent="0.25">
      <c r="A40" s="21" t="s">
        <v>90</v>
      </c>
      <c r="Q40" s="31">
        <v>2</v>
      </c>
      <c r="R40" s="34">
        <f t="shared" si="3"/>
        <v>6000</v>
      </c>
      <c r="S40" s="28">
        <f t="shared" si="0"/>
        <v>24</v>
      </c>
    </row>
    <row r="41" spans="1:19" x14ac:dyDescent="0.2">
      <c r="A41" s="22" t="s">
        <v>91</v>
      </c>
      <c r="I41" t="s">
        <v>101</v>
      </c>
      <c r="L41">
        <v>25</v>
      </c>
      <c r="M41">
        <v>6600</v>
      </c>
      <c r="N41">
        <f>M41*L41</f>
        <v>165000</v>
      </c>
      <c r="O41">
        <f>5000*20*12</f>
        <v>1200000</v>
      </c>
      <c r="P41">
        <f>O41/250</f>
        <v>4800</v>
      </c>
    </row>
    <row r="42" spans="1:19" x14ac:dyDescent="0.2">
      <c r="A42" s="22" t="s">
        <v>92</v>
      </c>
      <c r="I42" t="s">
        <v>101</v>
      </c>
      <c r="L42">
        <f>L41+25</f>
        <v>50</v>
      </c>
      <c r="M42">
        <v>4400</v>
      </c>
      <c r="N42">
        <f>M42*L42</f>
        <v>220000</v>
      </c>
    </row>
    <row r="43" spans="1:19" x14ac:dyDescent="0.2">
      <c r="A43" s="22" t="s">
        <v>93</v>
      </c>
      <c r="I43" t="s">
        <v>101</v>
      </c>
      <c r="L43">
        <f t="shared" ref="L43:L45" si="4">L42+25</f>
        <v>75</v>
      </c>
      <c r="M43">
        <v>3300</v>
      </c>
      <c r="N43">
        <f>M43*L43</f>
        <v>247500</v>
      </c>
    </row>
    <row r="44" spans="1:19" x14ac:dyDescent="0.2">
      <c r="A44" s="21" t="s">
        <v>94</v>
      </c>
      <c r="L44">
        <f t="shared" si="4"/>
        <v>100</v>
      </c>
      <c r="M44">
        <v>2200</v>
      </c>
      <c r="N44">
        <f>M44*L44</f>
        <v>220000</v>
      </c>
    </row>
    <row r="45" spans="1:19" x14ac:dyDescent="0.2">
      <c r="A45" s="22" t="s">
        <v>95</v>
      </c>
      <c r="I45" t="s">
        <v>101</v>
      </c>
      <c r="L45">
        <f t="shared" si="4"/>
        <v>125</v>
      </c>
      <c r="M45">
        <v>1000</v>
      </c>
      <c r="N45">
        <f>M45*L45</f>
        <v>125000</v>
      </c>
      <c r="O45">
        <f>N45*12</f>
        <v>1500000</v>
      </c>
    </row>
    <row r="46" spans="1:19" x14ac:dyDescent="0.2">
      <c r="A46" s="22" t="s">
        <v>96</v>
      </c>
      <c r="I46" t="s">
        <v>101</v>
      </c>
      <c r="O46">
        <f>O45/250</f>
        <v>6000</v>
      </c>
    </row>
    <row r="47" spans="1:19" x14ac:dyDescent="0.2">
      <c r="A47" s="21" t="s">
        <v>97</v>
      </c>
      <c r="I47" t="s">
        <v>101</v>
      </c>
    </row>
    <row r="48" spans="1:19" x14ac:dyDescent="0.2">
      <c r="A48" s="24" t="s">
        <v>98</v>
      </c>
    </row>
    <row r="49" spans="1:9" x14ac:dyDescent="0.2">
      <c r="A49" s="22" t="s">
        <v>99</v>
      </c>
      <c r="I49" t="s">
        <v>101</v>
      </c>
    </row>
    <row r="50" spans="1:9" x14ac:dyDescent="0.2">
      <c r="A50" s="22" t="s">
        <v>100</v>
      </c>
      <c r="I50" t="s">
        <v>101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Tab</vt:lpstr>
      <vt:lpstr>Basic ROI</vt:lpstr>
      <vt:lpstr>PayBack Period</vt:lpstr>
      <vt:lpstr>Land Owner</vt:lpstr>
      <vt:lpstr>Sheet1</vt:lpstr>
    </vt:vector>
  </TitlesOfParts>
  <Company>Sonoma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Eyler</dc:creator>
  <cp:lastModifiedBy>Sam Morrow</cp:lastModifiedBy>
  <dcterms:created xsi:type="dcterms:W3CDTF">2022-10-09T17:09:44Z</dcterms:created>
  <dcterms:modified xsi:type="dcterms:W3CDTF">2024-09-25T17:36:59Z</dcterms:modified>
</cp:coreProperties>
</file>